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0_DASHBOARD_EXECUTIVO" sheetId="1" state="visible" r:id="rId1"/>
    <sheet xmlns:r="http://schemas.openxmlformats.org/officeDocument/2006/relationships" name="01_CONTROLE_MENSAL_12M" sheetId="2" state="visible" r:id="rId2"/>
    <sheet xmlns:r="http://schemas.openxmlformats.org/officeDocument/2006/relationships" name="02_SIMULADOR_PROLABORE" sheetId="3" state="visible" r:id="rId3"/>
    <sheet xmlns:r="http://schemas.openxmlformats.org/officeDocument/2006/relationships" name="03_TABELAS_OFICIAIS" sheetId="4" state="visible" r:id="rId4"/>
    <sheet xmlns:r="http://schemas.openxmlformats.org/officeDocument/2006/relationships" name="04_CNAES_E_ORIENTACOE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R$ #,##0.00"/>
  </numFmts>
  <fonts count="11">
    <font>
      <name val="Calibri"/>
      <family val="2"/>
      <color theme="1"/>
      <sz val="11"/>
      <scheme val="minor"/>
    </font>
    <font>
      <name val="Segoe UI"/>
      <b val="1"/>
      <color rgb="00FFFFFF"/>
      <sz val="15"/>
    </font>
    <font>
      <name val="Segoe UI"/>
      <i val="1"/>
      <color rgb="00475569"/>
      <sz val="9"/>
    </font>
    <font>
      <name val="Segoe UI"/>
      <b val="1"/>
      <color rgb="0064748B"/>
      <sz val="9"/>
    </font>
    <font>
      <name val="Segoe UI"/>
      <b val="1"/>
      <color rgb="00059669"/>
      <sz val="16"/>
    </font>
    <font>
      <name val="Segoe UI"/>
      <b val="1"/>
      <color rgb="000F172A"/>
      <sz val="16"/>
    </font>
    <font>
      <name val="Segoe UI"/>
      <b val="1"/>
      <color rgb="00FFFFFF"/>
      <sz val="10"/>
    </font>
    <font>
      <name val="Segoe UI"/>
      <b val="1"/>
      <color rgb="000F172A"/>
      <sz val="10"/>
    </font>
    <font>
      <name val="Segoe UI"/>
      <b val="1"/>
      <color rgb="00059669"/>
      <sz val="10"/>
    </font>
    <font>
      <name val="Segoe UI"/>
      <color rgb="000F172A"/>
      <sz val="10"/>
    </font>
    <font>
      <name val="Segoe UI"/>
      <b val="1"/>
      <color rgb="00DC2626"/>
      <sz val="10"/>
    </font>
  </fonts>
  <fills count="9">
    <fill>
      <patternFill/>
    </fill>
    <fill>
      <patternFill patternType="gray125"/>
    </fill>
    <fill>
      <patternFill patternType="solid">
        <fgColor rgb="000F172A"/>
        <bgColor rgb="000F172A"/>
      </patternFill>
    </fill>
    <fill>
      <patternFill patternType="solid">
        <fgColor rgb="00F8FAFC"/>
        <bgColor rgb="00F8FAFC"/>
      </patternFill>
    </fill>
    <fill>
      <patternFill patternType="solid">
        <fgColor rgb="00ECFDF5"/>
        <bgColor rgb="00ECFDF5"/>
      </patternFill>
    </fill>
    <fill>
      <patternFill patternType="solid">
        <fgColor rgb="00FFFFFF"/>
        <bgColor rgb="00FFFFFF"/>
      </patternFill>
    </fill>
    <fill>
      <patternFill patternType="solid">
        <fgColor rgb="001E293B"/>
        <bgColor rgb="001E293B"/>
      </patternFill>
    </fill>
    <fill>
      <patternFill patternType="solid">
        <fgColor rgb="00FEF2F2"/>
        <bgColor rgb="00FEF2F2"/>
      </patternFill>
    </fill>
    <fill>
      <patternFill patternType="solid">
        <fgColor rgb="00059669"/>
        <bgColor rgb="00059669"/>
      </patternFill>
    </fill>
  </fills>
  <borders count="4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  <border>
      <left style="thin">
        <color rgb="00E2E8F0"/>
      </left>
      <right style="thin">
        <color rgb="00E2E8F0"/>
      </right>
      <top style="thin">
        <color rgb="000F172A"/>
      </top>
      <bottom style="double">
        <color rgb="000F172A"/>
      </bottom>
    </border>
    <border>
      <left style="thin">
        <color rgb="00334155"/>
      </left>
      <right style="thin">
        <color rgb="00334155"/>
      </right>
      <top style="thin">
        <color rgb="00334155"/>
      </top>
      <bottom style="medium">
        <color rgb="000F172A"/>
      </bottom>
    </border>
  </borders>
  <cellStyleXfs count="1">
    <xf numFmtId="0" fontId="0" fillId="0" borderId="0"/>
  </cellStyleXfs>
  <cellXfs count="57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0" fillId="0" borderId="1" pivotButton="0" quotePrefix="0" xfId="0"/>
    <xf numFmtId="0" fontId="3" fillId="3" borderId="1" applyAlignment="1" pivotButton="0" quotePrefix="0" xfId="0">
      <alignment horizontal="center" vertical="center"/>
    </xf>
    <xf numFmtId="10" fontId="4" fillId="4" borderId="1" applyAlignment="1" pivotButton="0" quotePrefix="0" xfId="0">
      <alignment horizontal="center" vertical="center"/>
    </xf>
    <xf numFmtId="164" fontId="5" fillId="3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center" vertical="center"/>
    </xf>
    <xf numFmtId="0" fontId="6" fillId="2" borderId="0" applyAlignment="1" pivotButton="0" quotePrefix="0" xfId="0">
      <alignment horizontal="left" vertical="center" indent="1"/>
    </xf>
    <xf numFmtId="0" fontId="7" fillId="3" borderId="1" applyAlignment="1" pivotButton="0" quotePrefix="0" xfId="0">
      <alignment horizontal="left" vertical="center" indent="1"/>
    </xf>
    <xf numFmtId="0" fontId="7" fillId="3" borderId="1" applyAlignment="1" pivotButton="0" quotePrefix="0" xfId="0">
      <alignment horizontal="center" vertical="center"/>
    </xf>
    <xf numFmtId="0" fontId="7" fillId="5" borderId="1" applyAlignment="1" pivotButton="0" quotePrefix="0" xfId="0">
      <alignment horizontal="left" vertical="center" indent="1"/>
    </xf>
    <xf numFmtId="10" fontId="7" fillId="5" borderId="1" applyAlignment="1" pivotButton="0" quotePrefix="0" xfId="0">
      <alignment horizontal="center" vertical="center"/>
    </xf>
    <xf numFmtId="164" fontId="7" fillId="3" borderId="1" applyAlignment="1" pivotButton="0" quotePrefix="0" xfId="0">
      <alignment horizontal="center" vertical="center"/>
    </xf>
    <xf numFmtId="164" fontId="8" fillId="5" borderId="1" applyAlignment="1" pivotButton="0" quotePrefix="0" xfId="0">
      <alignment horizontal="center" vertical="center"/>
    </xf>
    <xf numFmtId="0" fontId="6" fillId="6" borderId="0" applyAlignment="1" pivotButton="0" quotePrefix="0" xfId="0">
      <alignment horizontal="center" vertical="center"/>
    </xf>
    <xf numFmtId="0" fontId="9" fillId="3" borderId="1" applyAlignment="1" pivotButton="0" quotePrefix="0" xfId="0">
      <alignment horizontal="left" vertical="center" indent="1"/>
    </xf>
    <xf numFmtId="164" fontId="9" fillId="3" borderId="1" applyAlignment="1" pivotButton="0" quotePrefix="0" xfId="0">
      <alignment horizontal="right" vertical="center"/>
    </xf>
    <xf numFmtId="0" fontId="9" fillId="5" borderId="1" applyAlignment="1" pivotButton="0" quotePrefix="0" xfId="0">
      <alignment horizontal="left" vertical="center" indent="1"/>
    </xf>
    <xf numFmtId="164" fontId="9" fillId="5" borderId="1" applyAlignment="1" pivotButton="0" quotePrefix="0" xfId="0">
      <alignment horizontal="right" vertical="center"/>
    </xf>
    <xf numFmtId="0" fontId="8" fillId="4" borderId="2" applyAlignment="1" pivotButton="0" quotePrefix="0" xfId="0">
      <alignment horizontal="left" vertical="center" indent="1"/>
    </xf>
    <xf numFmtId="0" fontId="7" fillId="4" borderId="2" applyAlignment="1" pivotButton="0" quotePrefix="0" xfId="0">
      <alignment horizontal="right" vertical="center"/>
    </xf>
    <xf numFmtId="164" fontId="8" fillId="4" borderId="2" applyAlignment="1" pivotButton="0" quotePrefix="0" xfId="0">
      <alignment horizontal="right" vertical="center"/>
    </xf>
    <xf numFmtId="0" fontId="6" fillId="2" borderId="3" applyAlignment="1" pivotButton="0" quotePrefix="0" xfId="0">
      <alignment horizontal="center" vertical="center" wrapText="1"/>
    </xf>
    <xf numFmtId="0" fontId="9" fillId="3" borderId="1" applyAlignment="1" pivotButton="0" quotePrefix="0" xfId="0">
      <alignment horizontal="center" vertical="center"/>
    </xf>
    <xf numFmtId="164" fontId="9" fillId="3" borderId="1" pivotButton="0" quotePrefix="0" xfId="0"/>
    <xf numFmtId="10" fontId="7" fillId="3" borderId="1" pivotButton="0" quotePrefix="0" xfId="0"/>
    <xf numFmtId="164" fontId="8" fillId="3" borderId="1" pivotButton="0" quotePrefix="0" xfId="0"/>
    <xf numFmtId="0" fontId="9" fillId="5" borderId="1" applyAlignment="1" pivotButton="0" quotePrefix="0" xfId="0">
      <alignment horizontal="center" vertical="center"/>
    </xf>
    <xf numFmtId="164" fontId="9" fillId="5" borderId="1" pivotButton="0" quotePrefix="0" xfId="0"/>
    <xf numFmtId="10" fontId="7" fillId="5" borderId="1" pivotButton="0" quotePrefix="0" xfId="0"/>
    <xf numFmtId="164" fontId="8" fillId="5" borderId="1" pivotButton="0" quotePrefix="0" xfId="0"/>
    <xf numFmtId="0" fontId="7" fillId="4" borderId="2" applyAlignment="1" pivotButton="0" quotePrefix="0" xfId="0">
      <alignment horizontal="center" vertical="center"/>
    </xf>
    <xf numFmtId="164" fontId="7" fillId="4" borderId="2" pivotButton="0" quotePrefix="0" xfId="0"/>
    <xf numFmtId="10" fontId="8" fillId="4" borderId="2" pivotButton="0" quotePrefix="0" xfId="0"/>
    <xf numFmtId="164" fontId="8" fillId="4" borderId="2" pivotButton="0" quotePrefix="0" xfId="0"/>
    <xf numFmtId="0" fontId="6" fillId="6" borderId="0" applyAlignment="1" pivotButton="0" quotePrefix="0" xfId="0">
      <alignment horizontal="left" vertical="center" indent="1"/>
    </xf>
    <xf numFmtId="164" fontId="5" fillId="5" borderId="1" applyAlignment="1" pivotButton="0" quotePrefix="0" xfId="0">
      <alignment horizontal="right" vertical="center"/>
    </xf>
    <xf numFmtId="164" fontId="7" fillId="5" borderId="1" applyAlignment="1" pivotButton="0" quotePrefix="0" xfId="0">
      <alignment horizontal="right" vertical="center"/>
    </xf>
    <xf numFmtId="10" fontId="7" fillId="5" borderId="1" applyAlignment="1" pivotButton="0" quotePrefix="0" xfId="0">
      <alignment horizontal="right" vertical="center"/>
    </xf>
    <xf numFmtId="164" fontId="7" fillId="3" borderId="1" applyAlignment="1" pivotButton="0" quotePrefix="0" xfId="0">
      <alignment horizontal="right" vertical="center"/>
    </xf>
    <xf numFmtId="0" fontId="7" fillId="4" borderId="1" applyAlignment="1" pivotButton="0" quotePrefix="0" xfId="0">
      <alignment horizontal="left" vertical="center" indent="1"/>
    </xf>
    <xf numFmtId="164" fontId="4" fillId="4" borderId="1" applyAlignment="1" pivotButton="0" quotePrefix="0" xfId="0">
      <alignment horizontal="right" vertical="center"/>
    </xf>
    <xf numFmtId="0" fontId="9" fillId="7" borderId="1" applyAlignment="1" pivotButton="0" quotePrefix="0" xfId="0">
      <alignment horizontal="left" vertical="center" indent="1"/>
    </xf>
    <xf numFmtId="164" fontId="10" fillId="7" borderId="1" applyAlignment="1" pivotButton="0" quotePrefix="0" xfId="0">
      <alignment horizontal="right" vertical="center"/>
    </xf>
    <xf numFmtId="0" fontId="9" fillId="4" borderId="1" applyAlignment="1" pivotButton="0" quotePrefix="0" xfId="0">
      <alignment horizontal="left" vertical="center" indent="1"/>
    </xf>
    <xf numFmtId="164" fontId="8" fillId="4" borderId="1" applyAlignment="1" pivotButton="0" quotePrefix="0" xfId="0">
      <alignment horizontal="right" vertical="center"/>
    </xf>
    <xf numFmtId="0" fontId="7" fillId="4" borderId="2" applyAlignment="1" pivotButton="0" quotePrefix="0" xfId="0">
      <alignment horizontal="left" vertical="center" indent="1"/>
    </xf>
    <xf numFmtId="164" fontId="4" fillId="4" borderId="2" applyAlignment="1" pivotButton="0" quotePrefix="0" xfId="0">
      <alignment horizontal="right" vertical="center"/>
    </xf>
    <xf numFmtId="0" fontId="6" fillId="8" borderId="0" applyAlignment="1" pivotButton="0" quotePrefix="0" xfId="0">
      <alignment horizontal="left" vertical="center" indent="1"/>
    </xf>
    <xf numFmtId="10" fontId="7" fillId="3" borderId="1" applyAlignment="1" pivotButton="0" quotePrefix="0" xfId="0">
      <alignment horizontal="center" vertical="center"/>
    </xf>
    <xf numFmtId="0" fontId="7" fillId="5" borderId="1" applyAlignment="1" pivotButton="0" quotePrefix="0" xfId="0">
      <alignment horizontal="center" vertical="center"/>
    </xf>
    <xf numFmtId="10" fontId="10" fillId="5" borderId="1" applyAlignment="1" pivotButton="0" quotePrefix="0" xfId="0">
      <alignment horizontal="center" vertical="center"/>
    </xf>
    <xf numFmtId="10" fontId="10" fillId="3" borderId="1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4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showGridLines="1" workbookViewId="0">
      <selection activeCell="A1" sqref="A1"/>
    </sheetView>
  </sheetViews>
  <sheetFormatPr baseColWidth="8" defaultRowHeight="15"/>
  <cols>
    <col width="18" customWidth="1" min="1" max="1"/>
    <col width="14" customWidth="1" min="2" max="2"/>
    <col width="14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</cols>
  <sheetData>
    <row r="1">
      <c r="A1" s="1" t="inlineStr">
        <is>
          <t>COCKPIT EXECUTIVO • CONTROLE E BLINDAGEM DO FATOR R (SIMPLES NACIONAL)</t>
        </is>
      </c>
    </row>
    <row r="2"/>
    <row r="3">
      <c r="A3" s="2" t="inlineStr">
        <is>
          <t>Monitoramento contínuo da relação Folha de Salários / RBT12 (Meta: Fator R &gt;= 28,00% para Anexo III a 6%)</t>
        </is>
      </c>
    </row>
    <row r="5">
      <c r="A5" s="3" t="inlineStr">
        <is>
          <t>FATOR R ACUMULADO (ÚLTIMOS 12M)</t>
        </is>
      </c>
      <c r="B5" s="4" t="n"/>
      <c r="C5" s="4" t="n"/>
      <c r="D5" s="5" t="inlineStr">
        <is>
          <t>FATURAMENTO BRUTO (RBT12)</t>
        </is>
      </c>
      <c r="E5" s="4" t="n"/>
      <c r="F5" s="4" t="n"/>
      <c r="G5" s="3" t="inlineStr">
        <is>
          <t>ECONOMIA TRIBUTÁRIA ACUMULADA</t>
        </is>
      </c>
      <c r="H5" s="4" t="n"/>
      <c r="I5" s="4" t="n"/>
    </row>
    <row r="6">
      <c r="A6" s="6">
        <f>'01_CONTROLE_MENSAL_12M'!J16</f>
        <v/>
      </c>
      <c r="B6" s="4" t="n"/>
      <c r="C6" s="4" t="n"/>
      <c r="D6" s="7">
        <f>'01_CONTROLE_MENSAL_12M'!H16</f>
        <v/>
      </c>
      <c r="E6" s="4" t="n"/>
      <c r="F6" s="4" t="n"/>
      <c r="G6" s="8">
        <f>'01_CONTROLE_MENSAL_12M'!N16</f>
        <v/>
      </c>
      <c r="H6" s="4" t="n"/>
      <c r="I6" s="4" t="n"/>
    </row>
    <row r="7">
      <c r="A7" s="4" t="n"/>
      <c r="B7" s="4" t="n"/>
      <c r="C7" s="4" t="n"/>
      <c r="D7" s="4" t="n"/>
      <c r="E7" s="4" t="n"/>
      <c r="F7" s="4" t="n"/>
      <c r="G7" s="4" t="n"/>
      <c r="H7" s="4" t="n"/>
      <c r="I7" s="4" t="n"/>
    </row>
    <row r="9">
      <c r="A9" s="9" t="inlineStr">
        <is>
          <t>DIAGNÓSTICO FISCAL &amp; ENQUADRAMENTO AUTOMÁTICO</t>
        </is>
      </c>
    </row>
    <row r="10">
      <c r="A10" s="10" t="inlineStr">
        <is>
          <t>Status Atual da Empresa:</t>
        </is>
      </c>
      <c r="E10" s="11">
        <f>SE('01_CONTROLE_MENSAL_12M'!J16&gt;=0.28; "🟢 ANEXO III ATIVO - TRIBUTAÇÃO REDUZIDA (6,0%)"; "🔴 ANEXO V ATIVO - ALÍQUOTA ELEVADA (15,5%)")</f>
        <v/>
      </c>
    </row>
    <row r="11">
      <c r="A11" s="12" t="inlineStr">
        <is>
          <t>Margem de Segurança sobre os 28%:</t>
        </is>
      </c>
      <c r="E11" s="13">
        <f>'01_CONTROLE_MENSAL_12M'!J16-0.28</f>
        <v/>
      </c>
    </row>
    <row r="12">
      <c r="A12" s="10" t="inlineStr">
        <is>
          <t>Pró-Labore Mínimo Mensal Recomendado:</t>
        </is>
      </c>
      <c r="E12" s="14">
        <f>'02_SIMULADOR_PROLABORE'!C12</f>
        <v/>
      </c>
    </row>
    <row r="13">
      <c r="A13" s="12" t="inlineStr">
        <is>
          <t>Economia Média Mensal no Bolso:</t>
        </is>
      </c>
      <c r="E13" s="15">
        <f>'01_CONTROLE_MENSAL_12M'!N16/12</f>
        <v/>
      </c>
    </row>
    <row r="15">
      <c r="A15" s="9" t="inlineStr">
        <is>
          <t>COMPARATIVO ANUAL DE GASTOS TRIBUTÁRIOS (ANEXO V vs ANEXO III COM PRÓ-LABORE)</t>
        </is>
      </c>
    </row>
    <row r="16">
      <c r="A16" s="16" t="inlineStr">
        <is>
          <t>INDICADOR FINANCEIRO</t>
        </is>
      </c>
      <c r="D16" s="16" t="inlineStr">
        <is>
          <t>CENÁRIO ANEXO V (SEM FATOR R)</t>
        </is>
      </c>
      <c r="F16" s="16" t="inlineStr">
        <is>
          <t>CENÁRIO ANEXO III (COM FATOR R)</t>
        </is>
      </c>
      <c r="H16" s="16" t="inlineStr">
        <is>
          <t>DIFERENÇA / ECONOMIA</t>
        </is>
      </c>
    </row>
    <row r="17">
      <c r="A17" s="17" t="inlineStr">
        <is>
          <t>Imposto Simples Nacional (DAS Total Anual):</t>
        </is>
      </c>
      <c r="D17" s="18">
        <f>'01_CONTROLE_MENSAL_12M'!L16</f>
        <v/>
      </c>
      <c r="F17" s="18">
        <f>'01_CONTROLE_MENSAL_12M'!M16</f>
        <v/>
      </c>
      <c r="H17" s="18">
        <f>D17-F17</f>
        <v/>
      </c>
    </row>
    <row r="18">
      <c r="A18" s="19" t="inlineStr">
        <is>
          <t>Custo Previdenciário (INSS Pró-Labore Anual):</t>
        </is>
      </c>
      <c r="D18" s="20">
        <f>0</f>
        <v/>
      </c>
      <c r="F18" s="20">
        <f>'01_CONTROLE_MENSAL_12M'!K16</f>
        <v/>
      </c>
      <c r="H18" s="20">
        <f>D18-F18</f>
        <v/>
      </c>
    </row>
    <row r="19">
      <c r="A19" s="17" t="inlineStr">
        <is>
          <t>Custo Tributário Total Anual da Empresa:</t>
        </is>
      </c>
      <c r="D19" s="18">
        <f>D17+D18</f>
        <v/>
      </c>
      <c r="F19" s="18">
        <f>F17+F18</f>
        <v/>
      </c>
      <c r="H19" s="18">
        <f>D19-F19</f>
        <v/>
      </c>
    </row>
    <row r="20">
      <c r="A20" s="21" t="inlineStr">
        <is>
          <t>ECONOMIA LÍQUIDA REAL NO BOLSO (ANUAL):</t>
        </is>
      </c>
      <c r="D20" s="22" t="inlineStr">
        <is>
          <t>—</t>
        </is>
      </c>
      <c r="F20" s="22" t="inlineStr">
        <is>
          <t>—</t>
        </is>
      </c>
      <c r="H20" s="23">
        <f>'01_CONTROLE_MENSAL_12M'!N16</f>
        <v/>
      </c>
    </row>
  </sheetData>
  <mergeCells count="38">
    <mergeCell ref="D20:E20"/>
    <mergeCell ref="E12:I12"/>
    <mergeCell ref="H20:I20"/>
    <mergeCell ref="F16:G16"/>
    <mergeCell ref="D19:E19"/>
    <mergeCell ref="F19:G19"/>
    <mergeCell ref="A18:C18"/>
    <mergeCell ref="A3:I3"/>
    <mergeCell ref="A10:D10"/>
    <mergeCell ref="A13:D13"/>
    <mergeCell ref="D6:F7"/>
    <mergeCell ref="A5:C5"/>
    <mergeCell ref="G5:I5"/>
    <mergeCell ref="E10:I10"/>
    <mergeCell ref="F20:G20"/>
    <mergeCell ref="F18:G18"/>
    <mergeCell ref="A17:C17"/>
    <mergeCell ref="E13:I13"/>
    <mergeCell ref="A1:I2"/>
    <mergeCell ref="A11:D11"/>
    <mergeCell ref="D17:E17"/>
    <mergeCell ref="A20:C20"/>
    <mergeCell ref="F17:G17"/>
    <mergeCell ref="H17:I17"/>
    <mergeCell ref="A6:C7"/>
    <mergeCell ref="D16:E16"/>
    <mergeCell ref="A19:C19"/>
    <mergeCell ref="D5:F5"/>
    <mergeCell ref="H16:I16"/>
    <mergeCell ref="A9:I9"/>
    <mergeCell ref="E11:I11"/>
    <mergeCell ref="H19:I19"/>
    <mergeCell ref="D18:E18"/>
    <mergeCell ref="A15:I15"/>
    <mergeCell ref="G6:I7"/>
    <mergeCell ref="A12:D12"/>
    <mergeCell ref="H18:I18"/>
    <mergeCell ref="A16:C1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16"/>
  <sheetViews>
    <sheetView showGridLines="1" workbookViewId="0">
      <selection activeCell="A1" sqref="A1"/>
    </sheetView>
  </sheetViews>
  <sheetFormatPr baseColWidth="8" defaultRowHeight="15"/>
  <cols>
    <col width="13" customWidth="1" min="1" max="1"/>
    <col width="22" customWidth="1" min="2" max="2"/>
    <col width="22" customWidth="1" min="3" max="3"/>
    <col width="18" customWidth="1" min="4" max="4"/>
    <col width="14" customWidth="1" min="5" max="5"/>
    <col width="22" customWidth="1" min="6" max="6"/>
    <col width="22" customWidth="1" min="7" max="7"/>
    <col width="24" customWidth="1" min="8" max="8"/>
    <col width="22" customWidth="1" min="9" max="9"/>
    <col width="18" customWidth="1" min="10" max="10"/>
    <col width="18" customWidth="1" min="11" max="11"/>
    <col width="22" customWidth="1" min="12" max="12"/>
    <col width="24" customWidth="1" min="13" max="13"/>
    <col width="22" customWidth="1" min="14" max="14"/>
    <col width="26" customWidth="1" min="15" max="15"/>
  </cols>
  <sheetData>
    <row r="1">
      <c r="A1" s="1" t="inlineStr">
        <is>
          <t>MATRIZ MENSAL DE APURAÇÃO DO FATOR R (12 MESES MÓVEIS)</t>
        </is>
      </c>
    </row>
    <row r="2"/>
    <row r="3">
      <c r="A3" s="24" t="inlineStr">
        <is>
          <t>MÊS / ANO</t>
        </is>
      </c>
      <c r="B3" s="24" t="inlineStr">
        <is>
          <t>FATURAMENTO BRUTO (R$)</t>
        </is>
      </c>
      <c r="C3" s="24" t="inlineStr">
        <is>
          <t>PRÓ-LABORE SÓCIOS (R$)</t>
        </is>
      </c>
      <c r="D3" s="24" t="inlineStr">
        <is>
          <t>SALÁRIOS CLT (R$)</t>
        </is>
      </c>
      <c r="E3" s="24" t="inlineStr">
        <is>
          <t>FGTS (8%)</t>
        </is>
      </c>
      <c r="F3" s="24" t="inlineStr">
        <is>
          <t>INSS PATRONAL / OUTROS</t>
        </is>
      </c>
      <c r="G3" s="24" t="inlineStr">
        <is>
          <t>FOLHA TOTAL DO MÊS (FS)</t>
        </is>
      </c>
      <c r="H3" s="24" t="inlineStr">
        <is>
          <t>RBT12 (FATURAMENTO 12M)</t>
        </is>
      </c>
      <c r="I3" s="24" t="inlineStr">
        <is>
          <t>FS12 (FOLHA 12M)</t>
        </is>
      </c>
      <c r="J3" s="24" t="inlineStr">
        <is>
          <t>% FATOR R (FS12/RBT12)</t>
        </is>
      </c>
      <c r="K3" s="24" t="inlineStr">
        <is>
          <t>ENQUADRAMENTO</t>
        </is>
      </c>
      <c r="L3" s="24" t="inlineStr">
        <is>
          <t>IMPOSTO ANEXO V (15,5%)</t>
        </is>
      </c>
      <c r="M3" s="24" t="inlineStr">
        <is>
          <t>IMPOSTO ANEXO III (6,0%)</t>
        </is>
      </c>
      <c r="N3" s="24" t="inlineStr">
        <is>
          <t>ECONOMIA LÍQUIDA (R$)</t>
        </is>
      </c>
      <c r="O3" s="24" t="inlineStr">
        <is>
          <t>STATUS / AÇÃO</t>
        </is>
      </c>
    </row>
    <row r="4">
      <c r="A4" s="25" t="inlineStr">
        <is>
          <t>Jan/2026</t>
        </is>
      </c>
      <c r="B4" s="26" t="n">
        <v>20000</v>
      </c>
      <c r="C4" s="26" t="n">
        <v>5600</v>
      </c>
      <c r="D4" s="26" t="n">
        <v>0</v>
      </c>
      <c r="E4" s="26">
        <f>D4*0.08</f>
        <v/>
      </c>
      <c r="F4" s="26" t="n">
        <v>0</v>
      </c>
      <c r="G4" s="26">
        <f>SUM(C4:F4)</f>
        <v/>
      </c>
      <c r="H4" s="26">
        <f>SUM(B$4:B4)*(12/(4-3))</f>
        <v/>
      </c>
      <c r="I4" s="26">
        <f>SUM(G$4:G4)*(12/(4-3))</f>
        <v/>
      </c>
      <c r="J4" s="27">
        <f>I4/H4</f>
        <v/>
      </c>
      <c r="K4" s="25">
        <f>IF(J4&gt;=0.28, "Anexo III (6%)", "Anexo V (15,5%)")</f>
        <v/>
      </c>
      <c r="L4" s="26">
        <f>B4*0.155</f>
        <v/>
      </c>
      <c r="M4" s="26">
        <f>(B4*0.06)+(C4*0.11)</f>
        <v/>
      </c>
      <c r="N4" s="28">
        <f>IF(J4&gt;=0.28, L4-M4, 0)</f>
        <v/>
      </c>
      <c r="O4" s="25">
        <f>IF(J4&gt;=0.285, "🟢 Blindado (&gt;28.5%)", IF(J4&gt;=0.28, "🟡 Alerta (Risco Limite)", "🔴 Atenção (Aumentar Pró-Labore)"))</f>
        <v/>
      </c>
    </row>
    <row r="5">
      <c r="A5" s="29" t="inlineStr">
        <is>
          <t>Fev/2026</t>
        </is>
      </c>
      <c r="B5" s="30" t="n">
        <v>22000</v>
      </c>
      <c r="C5" s="30" t="n">
        <v>6200</v>
      </c>
      <c r="D5" s="30" t="n">
        <v>0</v>
      </c>
      <c r="E5" s="30">
        <f>D5*0.08</f>
        <v/>
      </c>
      <c r="F5" s="30" t="n">
        <v>0</v>
      </c>
      <c r="G5" s="30">
        <f>SUM(C5:F5)</f>
        <v/>
      </c>
      <c r="H5" s="30">
        <f>SUM(B$4:B5)*(12/(5-3))</f>
        <v/>
      </c>
      <c r="I5" s="30">
        <f>SUM(G$4:G5)*(12/(5-3))</f>
        <v/>
      </c>
      <c r="J5" s="31">
        <f>I5/H5</f>
        <v/>
      </c>
      <c r="K5" s="29">
        <f>IF(J5&gt;=0.28, "Anexo III (6%)", "Anexo V (15,5%)")</f>
        <v/>
      </c>
      <c r="L5" s="30">
        <f>B5*0.155</f>
        <v/>
      </c>
      <c r="M5" s="30">
        <f>(B5*0.06)+(C5*0.11)</f>
        <v/>
      </c>
      <c r="N5" s="32">
        <f>IF(J5&gt;=0.28, L5-M5, 0)</f>
        <v/>
      </c>
      <c r="O5" s="29">
        <f>IF(J5&gt;=0.285, "🟢 Blindado (&gt;28.5%)", IF(J5&gt;=0.28, "🟡 Alerta (Risco Limite)", "🔴 Atenção (Aumentar Pró-Labore)"))</f>
        <v/>
      </c>
    </row>
    <row r="6">
      <c r="A6" s="25" t="inlineStr">
        <is>
          <t>Mar/2026</t>
        </is>
      </c>
      <c r="B6" s="26" t="n">
        <v>25000</v>
      </c>
      <c r="C6" s="26" t="n">
        <v>7000</v>
      </c>
      <c r="D6" s="26" t="n">
        <v>0</v>
      </c>
      <c r="E6" s="26">
        <f>D6*0.08</f>
        <v/>
      </c>
      <c r="F6" s="26" t="n">
        <v>0</v>
      </c>
      <c r="G6" s="26">
        <f>SUM(C6:F6)</f>
        <v/>
      </c>
      <c r="H6" s="26">
        <f>SUM(B$4:B6)*(12/(6-3))</f>
        <v/>
      </c>
      <c r="I6" s="26">
        <f>SUM(G$4:G6)*(12/(6-3))</f>
        <v/>
      </c>
      <c r="J6" s="27">
        <f>I6/H6</f>
        <v/>
      </c>
      <c r="K6" s="25">
        <f>IF(J6&gt;=0.28, "Anexo III (6%)", "Anexo V (15,5%)")</f>
        <v/>
      </c>
      <c r="L6" s="26">
        <f>B6*0.155</f>
        <v/>
      </c>
      <c r="M6" s="26">
        <f>(B6*0.06)+(C6*0.11)</f>
        <v/>
      </c>
      <c r="N6" s="28">
        <f>IF(J6&gt;=0.28, L6-M6, 0)</f>
        <v/>
      </c>
      <c r="O6" s="25">
        <f>IF(J6&gt;=0.285, "🟢 Blindado (&gt;28.5%)", IF(J6&gt;=0.28, "🟡 Alerta (Risco Limite)", "🔴 Atenção (Aumentar Pró-Labore)"))</f>
        <v/>
      </c>
    </row>
    <row r="7">
      <c r="A7" s="29" t="inlineStr">
        <is>
          <t>Abr/2026</t>
        </is>
      </c>
      <c r="B7" s="30" t="n">
        <v>24000</v>
      </c>
      <c r="C7" s="30" t="n">
        <v>6800</v>
      </c>
      <c r="D7" s="30" t="n">
        <v>0</v>
      </c>
      <c r="E7" s="30">
        <f>D7*0.08</f>
        <v/>
      </c>
      <c r="F7" s="30" t="n">
        <v>0</v>
      </c>
      <c r="G7" s="30">
        <f>SUM(C7:F7)</f>
        <v/>
      </c>
      <c r="H7" s="30">
        <f>SUM(B$4:B7)*(12/(7-3))</f>
        <v/>
      </c>
      <c r="I7" s="30">
        <f>SUM(G$4:G7)*(12/(7-3))</f>
        <v/>
      </c>
      <c r="J7" s="31">
        <f>I7/H7</f>
        <v/>
      </c>
      <c r="K7" s="29">
        <f>IF(J7&gt;=0.28, "Anexo III (6%)", "Anexo V (15,5%)")</f>
        <v/>
      </c>
      <c r="L7" s="30">
        <f>B7*0.155</f>
        <v/>
      </c>
      <c r="M7" s="30">
        <f>(B7*0.06)+(C7*0.11)</f>
        <v/>
      </c>
      <c r="N7" s="32">
        <f>IF(J7&gt;=0.28, L7-M7, 0)</f>
        <v/>
      </c>
      <c r="O7" s="29">
        <f>IF(J7&gt;=0.285, "🟢 Blindado (&gt;28.5%)", IF(J7&gt;=0.28, "🟡 Alerta (Risco Limite)", "🔴 Atenção (Aumentar Pró-Labore)"))</f>
        <v/>
      </c>
    </row>
    <row r="8">
      <c r="A8" s="25" t="inlineStr">
        <is>
          <t>Mai/2026</t>
        </is>
      </c>
      <c r="B8" s="26" t="n">
        <v>26000</v>
      </c>
      <c r="C8" s="26" t="n">
        <v>7300</v>
      </c>
      <c r="D8" s="26" t="n">
        <v>0</v>
      </c>
      <c r="E8" s="26">
        <f>D8*0.08</f>
        <v/>
      </c>
      <c r="F8" s="26" t="n">
        <v>0</v>
      </c>
      <c r="G8" s="26">
        <f>SUM(C8:F8)</f>
        <v/>
      </c>
      <c r="H8" s="26">
        <f>SUM(B$4:B8)*(12/(8-3))</f>
        <v/>
      </c>
      <c r="I8" s="26">
        <f>SUM(G$4:G8)*(12/(8-3))</f>
        <v/>
      </c>
      <c r="J8" s="27">
        <f>I8/H8</f>
        <v/>
      </c>
      <c r="K8" s="25">
        <f>IF(J8&gt;=0.28, "Anexo III (6%)", "Anexo V (15,5%)")</f>
        <v/>
      </c>
      <c r="L8" s="26">
        <f>B8*0.155</f>
        <v/>
      </c>
      <c r="M8" s="26">
        <f>(B8*0.06)+(C8*0.11)</f>
        <v/>
      </c>
      <c r="N8" s="28">
        <f>IF(J8&gt;=0.28, L8-M8, 0)</f>
        <v/>
      </c>
      <c r="O8" s="25">
        <f>IF(J8&gt;=0.285, "🟢 Blindado (&gt;28.5%)", IF(J8&gt;=0.28, "🟡 Alerta (Risco Limite)", "🔴 Atenção (Aumentar Pró-Labore)"))</f>
        <v/>
      </c>
    </row>
    <row r="9">
      <c r="A9" s="29" t="inlineStr">
        <is>
          <t>Jun/2026</t>
        </is>
      </c>
      <c r="B9" s="30" t="n">
        <v>28000</v>
      </c>
      <c r="C9" s="30" t="n">
        <v>7900</v>
      </c>
      <c r="D9" s="30" t="n">
        <v>0</v>
      </c>
      <c r="E9" s="30">
        <f>D9*0.08</f>
        <v/>
      </c>
      <c r="F9" s="30" t="n">
        <v>0</v>
      </c>
      <c r="G9" s="30">
        <f>SUM(C9:F9)</f>
        <v/>
      </c>
      <c r="H9" s="30">
        <f>SUM(B$4:B9)*(12/(9-3))</f>
        <v/>
      </c>
      <c r="I9" s="30">
        <f>SUM(G$4:G9)*(12/(9-3))</f>
        <v/>
      </c>
      <c r="J9" s="31">
        <f>I9/H9</f>
        <v/>
      </c>
      <c r="K9" s="29">
        <f>IF(J9&gt;=0.28, "Anexo III (6%)", "Anexo V (15,5%)")</f>
        <v/>
      </c>
      <c r="L9" s="30">
        <f>B9*0.155</f>
        <v/>
      </c>
      <c r="M9" s="30">
        <f>(B9*0.06)+(C9*0.11)</f>
        <v/>
      </c>
      <c r="N9" s="32">
        <f>IF(J9&gt;=0.28, L9-M9, 0)</f>
        <v/>
      </c>
      <c r="O9" s="29">
        <f>IF(J9&gt;=0.285, "🟢 Blindado (&gt;28.5%)", IF(J9&gt;=0.28, "🟡 Alerta (Risco Limite)", "🔴 Atenção (Aumentar Pró-Labore)"))</f>
        <v/>
      </c>
    </row>
    <row r="10">
      <c r="A10" s="25" t="inlineStr">
        <is>
          <t>Jul/2026</t>
        </is>
      </c>
      <c r="B10" s="26" t="n">
        <v>27000</v>
      </c>
      <c r="C10" s="26" t="n">
        <v>7600</v>
      </c>
      <c r="D10" s="26" t="n">
        <v>0</v>
      </c>
      <c r="E10" s="26">
        <f>D10*0.08</f>
        <v/>
      </c>
      <c r="F10" s="26" t="n">
        <v>0</v>
      </c>
      <c r="G10" s="26">
        <f>SUM(C10:F10)</f>
        <v/>
      </c>
      <c r="H10" s="26">
        <f>SUM(B$4:B10)*(12/(10-3))</f>
        <v/>
      </c>
      <c r="I10" s="26">
        <f>SUM(G$4:G10)*(12/(10-3))</f>
        <v/>
      </c>
      <c r="J10" s="27">
        <f>I10/H10</f>
        <v/>
      </c>
      <c r="K10" s="25">
        <f>IF(J10&gt;=0.28, "Anexo III (6%)", "Anexo V (15,5%)")</f>
        <v/>
      </c>
      <c r="L10" s="26">
        <f>B10*0.155</f>
        <v/>
      </c>
      <c r="M10" s="26">
        <f>(B10*0.06)+(C10*0.11)</f>
        <v/>
      </c>
      <c r="N10" s="28">
        <f>IF(J10&gt;=0.28, L10-M10, 0)</f>
        <v/>
      </c>
      <c r="O10" s="25">
        <f>IF(J10&gt;=0.285, "🟢 Blindado (&gt;28.5%)", IF(J10&gt;=0.28, "🟡 Alerta (Risco Limite)", "🔴 Atenção (Aumentar Pró-Labore)"))</f>
        <v/>
      </c>
    </row>
    <row r="11">
      <c r="A11" s="29" t="inlineStr">
        <is>
          <t>Ago/2026</t>
        </is>
      </c>
      <c r="B11" s="30" t="n">
        <v>30000</v>
      </c>
      <c r="C11" s="30" t="n">
        <v>8500</v>
      </c>
      <c r="D11" s="30" t="n">
        <v>0</v>
      </c>
      <c r="E11" s="30">
        <f>D11*0.08</f>
        <v/>
      </c>
      <c r="F11" s="30" t="n">
        <v>0</v>
      </c>
      <c r="G11" s="30">
        <f>SUM(C11:F11)</f>
        <v/>
      </c>
      <c r="H11" s="30">
        <f>SUM(B$4:B11)*(12/(11-3))</f>
        <v/>
      </c>
      <c r="I11" s="30">
        <f>SUM(G$4:G11)*(12/(11-3))</f>
        <v/>
      </c>
      <c r="J11" s="31">
        <f>I11/H11</f>
        <v/>
      </c>
      <c r="K11" s="29">
        <f>IF(J11&gt;=0.28, "Anexo III (6%)", "Anexo V (15,5%)")</f>
        <v/>
      </c>
      <c r="L11" s="30">
        <f>B11*0.155</f>
        <v/>
      </c>
      <c r="M11" s="30">
        <f>(B11*0.06)+(C11*0.11)</f>
        <v/>
      </c>
      <c r="N11" s="32">
        <f>IF(J11&gt;=0.28, L11-M11, 0)</f>
        <v/>
      </c>
      <c r="O11" s="29">
        <f>IF(J11&gt;=0.285, "🟢 Blindado (&gt;28.5%)", IF(J11&gt;=0.28, "🟡 Alerta (Risco Limite)", "🔴 Atenção (Aumentar Pró-Labore)"))</f>
        <v/>
      </c>
    </row>
    <row r="12">
      <c r="A12" s="25" t="inlineStr">
        <is>
          <t>Set/2026</t>
        </is>
      </c>
      <c r="B12" s="26" t="n">
        <v>32000</v>
      </c>
      <c r="C12" s="26" t="n">
        <v>9000</v>
      </c>
      <c r="D12" s="26" t="n">
        <v>0</v>
      </c>
      <c r="E12" s="26">
        <f>D12*0.08</f>
        <v/>
      </c>
      <c r="F12" s="26" t="n">
        <v>0</v>
      </c>
      <c r="G12" s="26">
        <f>SUM(C12:F12)</f>
        <v/>
      </c>
      <c r="H12" s="26">
        <f>SUM(B$4:B12)*(12/(12-3))</f>
        <v/>
      </c>
      <c r="I12" s="26">
        <f>SUM(G$4:G12)*(12/(12-3))</f>
        <v/>
      </c>
      <c r="J12" s="27">
        <f>I12/H12</f>
        <v/>
      </c>
      <c r="K12" s="25">
        <f>IF(J12&gt;=0.28, "Anexo III (6%)", "Anexo V (15,5%)")</f>
        <v/>
      </c>
      <c r="L12" s="26">
        <f>B12*0.155</f>
        <v/>
      </c>
      <c r="M12" s="26">
        <f>(B12*0.06)+(C12*0.11)</f>
        <v/>
      </c>
      <c r="N12" s="28">
        <f>IF(J12&gt;=0.28, L12-M12, 0)</f>
        <v/>
      </c>
      <c r="O12" s="25">
        <f>IF(J12&gt;=0.285, "🟢 Blindado (&gt;28.5%)", IF(J12&gt;=0.28, "🟡 Alerta (Risco Limite)", "🔴 Atenção (Aumentar Pró-Labore)"))</f>
        <v/>
      </c>
    </row>
    <row r="13">
      <c r="A13" s="29" t="inlineStr">
        <is>
          <t>Out/2026</t>
        </is>
      </c>
      <c r="B13" s="30" t="n">
        <v>35000</v>
      </c>
      <c r="C13" s="30" t="n">
        <v>9900</v>
      </c>
      <c r="D13" s="30" t="n">
        <v>0</v>
      </c>
      <c r="E13" s="30">
        <f>D13*0.08</f>
        <v/>
      </c>
      <c r="F13" s="30" t="n">
        <v>0</v>
      </c>
      <c r="G13" s="30">
        <f>SUM(C13:F13)</f>
        <v/>
      </c>
      <c r="H13" s="30">
        <f>SUM(B$4:B13)*(12/(13-3))</f>
        <v/>
      </c>
      <c r="I13" s="30">
        <f>SUM(G$4:G13)*(12/(13-3))</f>
        <v/>
      </c>
      <c r="J13" s="31">
        <f>I13/H13</f>
        <v/>
      </c>
      <c r="K13" s="29">
        <f>IF(J13&gt;=0.28, "Anexo III (6%)", "Anexo V (15,5%)")</f>
        <v/>
      </c>
      <c r="L13" s="30">
        <f>B13*0.155</f>
        <v/>
      </c>
      <c r="M13" s="30">
        <f>(B13*0.06)+(C13*0.11)</f>
        <v/>
      </c>
      <c r="N13" s="32">
        <f>IF(J13&gt;=0.28, L13-M13, 0)</f>
        <v/>
      </c>
      <c r="O13" s="29">
        <f>IF(J13&gt;=0.285, "🟢 Blindado (&gt;28.5%)", IF(J13&gt;=0.28, "🟡 Alerta (Risco Limite)", "🔴 Atenção (Aumentar Pró-Labore)"))</f>
        <v/>
      </c>
    </row>
    <row r="14">
      <c r="A14" s="25" t="inlineStr">
        <is>
          <t>Nov/2026</t>
        </is>
      </c>
      <c r="B14" s="26" t="n">
        <v>38000</v>
      </c>
      <c r="C14" s="26" t="n">
        <v>10800</v>
      </c>
      <c r="D14" s="26" t="n">
        <v>0</v>
      </c>
      <c r="E14" s="26">
        <f>D14*0.08</f>
        <v/>
      </c>
      <c r="F14" s="26" t="n">
        <v>0</v>
      </c>
      <c r="G14" s="26">
        <f>SUM(C14:F14)</f>
        <v/>
      </c>
      <c r="H14" s="26">
        <f>SUM(B$4:B14)*(12/(14-3))</f>
        <v/>
      </c>
      <c r="I14" s="26">
        <f>SUM(G$4:G14)*(12/(14-3))</f>
        <v/>
      </c>
      <c r="J14" s="27">
        <f>I14/H14</f>
        <v/>
      </c>
      <c r="K14" s="25">
        <f>IF(J14&gt;=0.28, "Anexo III (6%)", "Anexo V (15,5%)")</f>
        <v/>
      </c>
      <c r="L14" s="26">
        <f>B14*0.155</f>
        <v/>
      </c>
      <c r="M14" s="26">
        <f>(B14*0.06)+(C14*0.11)</f>
        <v/>
      </c>
      <c r="N14" s="28">
        <f>IF(J14&gt;=0.28, L14-M14, 0)</f>
        <v/>
      </c>
      <c r="O14" s="25">
        <f>IF(J14&gt;=0.285, "🟢 Blindado (&gt;28.5%)", IF(J14&gt;=0.28, "🟡 Alerta (Risco Limite)", "🔴 Atenção (Aumentar Pró-Labore)"))</f>
        <v/>
      </c>
    </row>
    <row r="15">
      <c r="A15" s="29" t="inlineStr">
        <is>
          <t>Dez/2026</t>
        </is>
      </c>
      <c r="B15" s="30" t="n">
        <v>45000</v>
      </c>
      <c r="C15" s="30" t="n">
        <v>12800</v>
      </c>
      <c r="D15" s="30" t="n">
        <v>0</v>
      </c>
      <c r="E15" s="30">
        <f>D15*0.08</f>
        <v/>
      </c>
      <c r="F15" s="30" t="n">
        <v>0</v>
      </c>
      <c r="G15" s="30">
        <f>SUM(C15:F15)</f>
        <v/>
      </c>
      <c r="H15" s="30">
        <f>SUM(B4:B15)</f>
        <v/>
      </c>
      <c r="I15" s="30">
        <f>SUM(G4:G15)</f>
        <v/>
      </c>
      <c r="J15" s="31">
        <f>I15/H15</f>
        <v/>
      </c>
      <c r="K15" s="29">
        <f>IF(J15&gt;=0.28, "Anexo III (6%)", "Anexo V (15,5%)")</f>
        <v/>
      </c>
      <c r="L15" s="30">
        <f>B15*0.155</f>
        <v/>
      </c>
      <c r="M15" s="30">
        <f>(B15*0.06)+(C15*0.11)</f>
        <v/>
      </c>
      <c r="N15" s="32">
        <f>IF(J15&gt;=0.28, L15-M15, 0)</f>
        <v/>
      </c>
      <c r="O15" s="29">
        <f>IF(J15&gt;=0.285, "🟢 Blindado (&gt;28.5%)", IF(J15&gt;=0.28, "🟡 Alerta (Risco Limite)", "🔴 Atenção (Aumentar Pró-Labore)"))</f>
        <v/>
      </c>
    </row>
    <row r="16">
      <c r="A16" s="33" t="inlineStr">
        <is>
          <t>TOTAL ACUMULADO / MÉDIA</t>
        </is>
      </c>
      <c r="B16" s="34">
        <f>SUM(B4:B15)</f>
        <v/>
      </c>
      <c r="C16" s="34">
        <f>SUM(C4:C15)</f>
        <v/>
      </c>
      <c r="D16" s="34">
        <f>SUM(D4:D15)</f>
        <v/>
      </c>
      <c r="E16" s="34">
        <f>SUM(E4:E15)</f>
        <v/>
      </c>
      <c r="F16" s="34">
        <f>SUM(F4:F15)</f>
        <v/>
      </c>
      <c r="G16" s="34">
        <f>SUM(G4:G15)</f>
        <v/>
      </c>
      <c r="H16" s="34">
        <f>B16</f>
        <v/>
      </c>
      <c r="I16" s="34">
        <f>G16</f>
        <v/>
      </c>
      <c r="J16" s="35">
        <f>I16/H16</f>
        <v/>
      </c>
      <c r="K16" s="33">
        <f>IF(J16&gt;=0.28, "ANEXO III GLOBAL", "ANEXO V GLOBAL")</f>
        <v/>
      </c>
      <c r="L16" s="34">
        <f>SUM(L4:L15)</f>
        <v/>
      </c>
      <c r="M16" s="34">
        <f>SUM(M4:M15)</f>
        <v/>
      </c>
      <c r="N16" s="36">
        <f>SUM(N4:N15)</f>
        <v/>
      </c>
      <c r="O16" s="33">
        <f>IF(J16&gt;=0.28, "✅ ENQUADRADO COM SUCESSO", "❌ REVISAR PRÓ-LABORE")</f>
        <v/>
      </c>
    </row>
  </sheetData>
  <mergeCells count="1">
    <mergeCell ref="A1:O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0"/>
  <sheetViews>
    <sheetView showGridLines="1"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</cols>
  <sheetData>
    <row r="1">
      <c r="A1" s="1" t="inlineStr">
        <is>
          <t>SIMULADOR DE PRÓ-LABORE ÓTIMO PARA ATINGIR O FATOR R</t>
        </is>
      </c>
    </row>
    <row r="2"/>
    <row r="3">
      <c r="A3" s="2" t="inlineStr">
        <is>
          <t>Calcule o valor exato de Pró-Labore a emitir para blindar o Anexo III (Economia de 9,5% do Faturamento)</t>
        </is>
      </c>
    </row>
    <row r="5">
      <c r="A5" s="37" t="inlineStr">
        <is>
          <t>1. PARÂMETROS DA EMPRESA (PREENCHA OS CAMPOS ABAIXO)</t>
        </is>
      </c>
    </row>
    <row r="6">
      <c r="A6" s="10" t="inlineStr">
        <is>
          <t>Faturamento Bruto Previsto para o Mês (R$):</t>
        </is>
      </c>
      <c r="E6" s="38" t="n">
        <v>25000</v>
      </c>
    </row>
    <row r="7">
      <c r="A7" s="10" t="inlineStr">
        <is>
          <t>Total de Salários CLT no Mês (se houver):</t>
        </is>
      </c>
      <c r="E7" s="39" t="n">
        <v>0</v>
      </c>
    </row>
    <row r="8">
      <c r="A8" s="10" t="inlineStr">
        <is>
          <t>Total de FGTS + Encargos CLT no Mês:</t>
        </is>
      </c>
      <c r="E8" s="39" t="n">
        <v>0</v>
      </c>
    </row>
    <row r="9">
      <c r="A9" s="10" t="inlineStr">
        <is>
          <t>Margem de Segurança Desejada (% acima de 28%):</t>
        </is>
      </c>
      <c r="E9" s="40" t="n">
        <v>0.005</v>
      </c>
    </row>
    <row r="11">
      <c r="A11" s="37" t="inlineStr">
        <is>
          <t>2. RECOMENDAÇÃO DO PRÓ-LABORE &amp; COMPARATIVO TRIBUTÁRIO</t>
        </is>
      </c>
    </row>
    <row r="12">
      <c r="A12" s="17" t="inlineStr">
        <is>
          <t>Pró-Labore Mínimo Exato (Fator R = 28,00%):</t>
        </is>
      </c>
      <c r="E12" s="41">
        <f>MAX(0, (E6*0.28)-(E7+E8))</f>
        <v/>
      </c>
    </row>
    <row r="13">
      <c r="A13" s="42" t="inlineStr">
        <is>
          <t>Pró-Labore Recomendado com Segurança (28,50%):</t>
        </is>
      </c>
      <c r="E13" s="43">
        <f>MAX(0, (E6*(0.28+E9))-(E7+E8))</f>
        <v/>
      </c>
    </row>
    <row r="14">
      <c r="A14" s="17" t="inlineStr">
        <is>
          <t>INSS do Sócio Retido na Fonte (11%):</t>
        </is>
      </c>
      <c r="E14" s="18">
        <f>E13*0.11</f>
        <v/>
      </c>
    </row>
    <row r="15">
      <c r="A15" s="17" t="inlineStr">
        <is>
          <t>IRPF Estimado do Sócio s/ Pró-Labore:</t>
        </is>
      </c>
      <c r="E15" s="18">
        <f>MAX(0, (E13-E14-564.80)*0.075)</f>
        <v/>
      </c>
    </row>
    <row r="16">
      <c r="A16" s="44" t="inlineStr">
        <is>
          <t>Imposto DAS no Anexo V (Sem Fator R - 15,5%):</t>
        </is>
      </c>
      <c r="E16" s="45">
        <f>E6*0.155</f>
        <v/>
      </c>
    </row>
    <row r="17">
      <c r="A17" s="46" t="inlineStr">
        <is>
          <t>Imposto DAS no Anexo III (Com Fator R - 6,0%):</t>
        </is>
      </c>
      <c r="E17" s="47">
        <f>E6*0.06</f>
        <v/>
      </c>
    </row>
    <row r="18">
      <c r="A18" s="17" t="inlineStr">
        <is>
          <t>Custo Total Com Fator R (DAS III + INSS + IRPF):</t>
        </is>
      </c>
      <c r="E18" s="41">
        <f>E17+E14+E15</f>
        <v/>
      </c>
    </row>
    <row r="19">
      <c r="A19" s="48" t="inlineStr">
        <is>
          <t>ECONOMIA LÍQUIDA REAL NO MÊS:</t>
        </is>
      </c>
      <c r="E19" s="49">
        <f>E16-E18</f>
        <v/>
      </c>
    </row>
    <row r="20">
      <c r="A20" s="48" t="inlineStr">
        <is>
          <t>ECONOMIA LÍQUIDA PROJETADA EM 12 MESES:</t>
        </is>
      </c>
      <c r="E20" s="49">
        <f>E19*12</f>
        <v/>
      </c>
    </row>
  </sheetData>
  <mergeCells count="30">
    <mergeCell ref="A17:D17"/>
    <mergeCell ref="A8:D8"/>
    <mergeCell ref="E13:G13"/>
    <mergeCell ref="A1:G2"/>
    <mergeCell ref="E19:G19"/>
    <mergeCell ref="A20:D20"/>
    <mergeCell ref="A5:G5"/>
    <mergeCell ref="E9:G9"/>
    <mergeCell ref="A19:D19"/>
    <mergeCell ref="E15:G15"/>
    <mergeCell ref="A13:D13"/>
    <mergeCell ref="E6:G6"/>
    <mergeCell ref="A9:D9"/>
    <mergeCell ref="A15:D15"/>
    <mergeCell ref="A11:G11"/>
    <mergeCell ref="E7:G7"/>
    <mergeCell ref="E16:G16"/>
    <mergeCell ref="A6:D6"/>
    <mergeCell ref="A7:D7"/>
    <mergeCell ref="E12:G12"/>
    <mergeCell ref="E18:G18"/>
    <mergeCell ref="A16:D16"/>
    <mergeCell ref="A18:D18"/>
    <mergeCell ref="E14:G14"/>
    <mergeCell ref="A3:G3"/>
    <mergeCell ref="A12:D12"/>
    <mergeCell ref="E8:G8"/>
    <mergeCell ref="E17:G17"/>
    <mergeCell ref="E20:G20"/>
    <mergeCell ref="A14:D14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20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20" customWidth="1" min="2" max="2"/>
    <col width="20" customWidth="1" min="3" max="3"/>
    <col width="16" customWidth="1" min="4" max="4"/>
    <col width="16" customWidth="1" min="5" max="5"/>
    <col width="16" customWidth="1" min="6" max="6"/>
    <col width="16" customWidth="1" min="7" max="7"/>
  </cols>
  <sheetData>
    <row r="1">
      <c r="A1" s="1" t="inlineStr">
        <is>
          <t>TABELAS OFICIAIS DO SIMPLES NACIONAL • ANEXO III vs ANEXO V</t>
        </is>
      </c>
    </row>
    <row r="2"/>
    <row r="4">
      <c r="A4" s="50" t="inlineStr">
        <is>
          <t>ANEXO III — SERVIÇOS EM GERAL (COM FATOR R &gt;= 28%)</t>
        </is>
      </c>
    </row>
    <row r="5">
      <c r="A5" s="16" t="inlineStr">
        <is>
          <t>Faixa</t>
        </is>
      </c>
      <c r="B5" s="16" t="inlineStr">
        <is>
          <t>Receita Bruta em 12 Meses (RBT12)</t>
        </is>
      </c>
      <c r="D5" s="16" t="inlineStr">
        <is>
          <t>Alíquota Nominal</t>
        </is>
      </c>
      <c r="F5" s="16" t="inlineStr">
        <is>
          <t>Parcela a Deduzir (R$)</t>
        </is>
      </c>
    </row>
    <row r="6">
      <c r="A6" s="11" t="inlineStr">
        <is>
          <t>1ª Faixa</t>
        </is>
      </c>
      <c r="B6" s="25" t="inlineStr">
        <is>
          <t>Até R$ 180.000,00</t>
        </is>
      </c>
      <c r="D6" s="51" t="n">
        <v>0.06</v>
      </c>
      <c r="F6" s="18" t="n">
        <v>0</v>
      </c>
    </row>
    <row r="7">
      <c r="A7" s="52" t="inlineStr">
        <is>
          <t>2ª Faixa</t>
        </is>
      </c>
      <c r="B7" s="29" t="inlineStr">
        <is>
          <t>De R$ 180.000,01 a R$ 360.000,00</t>
        </is>
      </c>
      <c r="D7" s="13" t="n">
        <v>0.112</v>
      </c>
      <c r="F7" s="20" t="n">
        <v>9360</v>
      </c>
    </row>
    <row r="8">
      <c r="A8" s="11" t="inlineStr">
        <is>
          <t>3ª Faixa</t>
        </is>
      </c>
      <c r="B8" s="25" t="inlineStr">
        <is>
          <t>De R$ 360.000,01 a R$ 720.000,00</t>
        </is>
      </c>
      <c r="D8" s="51" t="n">
        <v>0.135</v>
      </c>
      <c r="F8" s="18" t="n">
        <v>17640</v>
      </c>
    </row>
    <row r="9">
      <c r="A9" s="52" t="inlineStr">
        <is>
          <t>4ª Faixa</t>
        </is>
      </c>
      <c r="B9" s="29" t="inlineStr">
        <is>
          <t>De R$ 720.000,01 a R$ 1.800.000,00</t>
        </is>
      </c>
      <c r="D9" s="13" t="n">
        <v>0.16</v>
      </c>
      <c r="F9" s="20" t="n">
        <v>35640</v>
      </c>
    </row>
    <row r="10">
      <c r="A10" s="11" t="inlineStr">
        <is>
          <t>5ª Faixa</t>
        </is>
      </c>
      <c r="B10" s="25" t="inlineStr">
        <is>
          <t>De R$ 1.800.000,01 a R$ 3.600.000,00</t>
        </is>
      </c>
      <c r="D10" s="51" t="n">
        <v>0.21</v>
      </c>
      <c r="F10" s="18" t="n">
        <v>125640</v>
      </c>
    </row>
    <row r="11">
      <c r="A11" s="52" t="inlineStr">
        <is>
          <t>6ª Faixa</t>
        </is>
      </c>
      <c r="B11" s="29" t="inlineStr">
        <is>
          <t>De R$ 3.600.000,01 a R$ 4.800.000,00</t>
        </is>
      </c>
      <c r="D11" s="13" t="n">
        <v>0.33</v>
      </c>
      <c r="F11" s="20" t="n">
        <v>648000</v>
      </c>
    </row>
    <row r="13">
      <c r="A13" s="9" t="inlineStr">
        <is>
          <t>ANEXO V — SERVIÇOS INTELECTUAIS / TÉCNICOS (SEM FATOR R - ABAIXO DE 28%)</t>
        </is>
      </c>
    </row>
    <row r="14">
      <c r="A14" s="16" t="inlineStr">
        <is>
          <t>Faixa</t>
        </is>
      </c>
      <c r="B14" s="16" t="inlineStr">
        <is>
          <t>Receita Bruta em 12 Meses (RBT12)</t>
        </is>
      </c>
      <c r="D14" s="16" t="inlineStr">
        <is>
          <t>Alíquota Nominal</t>
        </is>
      </c>
      <c r="F14" s="16" t="inlineStr">
        <is>
          <t>Parcela a Deduzir (R$)</t>
        </is>
      </c>
    </row>
    <row r="15">
      <c r="A15" s="52" t="inlineStr">
        <is>
          <t>1ª Faixa</t>
        </is>
      </c>
      <c r="B15" s="29" t="inlineStr">
        <is>
          <t>Até R$ 180.000,00</t>
        </is>
      </c>
      <c r="D15" s="53" t="n">
        <v>0.155</v>
      </c>
      <c r="F15" s="20" t="n">
        <v>0</v>
      </c>
    </row>
    <row r="16">
      <c r="A16" s="11" t="inlineStr">
        <is>
          <t>2ª Faixa</t>
        </is>
      </c>
      <c r="B16" s="25" t="inlineStr">
        <is>
          <t>De R$ 180.000,01 a R$ 360.000,00</t>
        </is>
      </c>
      <c r="D16" s="54" t="n">
        <v>0.18</v>
      </c>
      <c r="F16" s="18" t="n">
        <v>4500</v>
      </c>
    </row>
    <row r="17">
      <c r="A17" s="52" t="inlineStr">
        <is>
          <t>3ª Faixa</t>
        </is>
      </c>
      <c r="B17" s="29" t="inlineStr">
        <is>
          <t>De R$ 360.000,01 a R$ 720.000,00</t>
        </is>
      </c>
      <c r="D17" s="53" t="n">
        <v>0.195</v>
      </c>
      <c r="F17" s="20" t="n">
        <v>9900</v>
      </c>
    </row>
    <row r="18">
      <c r="A18" s="11" t="inlineStr">
        <is>
          <t>4ª Faixa</t>
        </is>
      </c>
      <c r="B18" s="25" t="inlineStr">
        <is>
          <t>De R$ 720.000,01 a R$ 1.800.000,00</t>
        </is>
      </c>
      <c r="D18" s="54" t="n">
        <v>0.205</v>
      </c>
      <c r="F18" s="18" t="n">
        <v>17100</v>
      </c>
    </row>
    <row r="19">
      <c r="A19" s="52" t="inlineStr">
        <is>
          <t>5ª Faixa</t>
        </is>
      </c>
      <c r="B19" s="29" t="inlineStr">
        <is>
          <t>De R$ 1.800.000,01 a R$ 3.600.000,00</t>
        </is>
      </c>
      <c r="D19" s="53" t="n">
        <v>0.23</v>
      </c>
      <c r="F19" s="20" t="n">
        <v>62100</v>
      </c>
    </row>
    <row r="20">
      <c r="A20" s="11" t="inlineStr">
        <is>
          <t>6ª Faixa</t>
        </is>
      </c>
      <c r="B20" s="25" t="inlineStr">
        <is>
          <t>De R$ 3.600.000,01 a R$ 4.800.000,00</t>
        </is>
      </c>
      <c r="D20" s="54" t="n">
        <v>0.305</v>
      </c>
      <c r="F20" s="18" t="n">
        <v>540000</v>
      </c>
    </row>
  </sheetData>
  <mergeCells count="45">
    <mergeCell ref="D20:E20"/>
    <mergeCell ref="F11:G11"/>
    <mergeCell ref="B16:C16"/>
    <mergeCell ref="D10:E10"/>
    <mergeCell ref="A1:G2"/>
    <mergeCell ref="B7:C7"/>
    <mergeCell ref="F10:G10"/>
    <mergeCell ref="F16:G16"/>
    <mergeCell ref="D19:E19"/>
    <mergeCell ref="F19:G19"/>
    <mergeCell ref="A4:G4"/>
    <mergeCell ref="F6:G6"/>
    <mergeCell ref="B18:C18"/>
    <mergeCell ref="F7:G7"/>
    <mergeCell ref="D6:E6"/>
    <mergeCell ref="A13:G13"/>
    <mergeCell ref="B11:C11"/>
    <mergeCell ref="F15:G15"/>
    <mergeCell ref="D11:E11"/>
    <mergeCell ref="F5:G5"/>
    <mergeCell ref="F20:G20"/>
    <mergeCell ref="F18:G18"/>
    <mergeCell ref="B14:C14"/>
    <mergeCell ref="B17:C17"/>
    <mergeCell ref="B8:C8"/>
    <mergeCell ref="D17:E17"/>
    <mergeCell ref="F17:G17"/>
    <mergeCell ref="F8:G8"/>
    <mergeCell ref="D16:E16"/>
    <mergeCell ref="D7:E7"/>
    <mergeCell ref="B19:C19"/>
    <mergeCell ref="B10:C10"/>
    <mergeCell ref="D18:E18"/>
    <mergeCell ref="B9:C9"/>
    <mergeCell ref="D9:E9"/>
    <mergeCell ref="F9:G9"/>
    <mergeCell ref="D8:E8"/>
    <mergeCell ref="B6:C6"/>
    <mergeCell ref="B15:C15"/>
    <mergeCell ref="D15:E15"/>
    <mergeCell ref="B5:C5"/>
    <mergeCell ref="B20:C20"/>
    <mergeCell ref="D5:E5"/>
    <mergeCell ref="D14:E14"/>
    <mergeCell ref="F14:G14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26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20" customWidth="1" min="2" max="2"/>
    <col width="20" customWidth="1" min="3" max="3"/>
    <col width="20" customWidth="1" min="4" max="4"/>
    <col width="20" customWidth="1" min="5" max="5"/>
    <col width="16" customWidth="1" min="6" max="6"/>
    <col width="16" customWidth="1" min="7" max="7"/>
  </cols>
  <sheetData>
    <row r="1">
      <c r="A1" s="1" t="inlineStr">
        <is>
          <t>GUIA OPERACIONAL • ATIVIDADES SUJEITAS AO FATOR R &amp; CHECKLIST CONTÁBIL</t>
        </is>
      </c>
    </row>
    <row r="2"/>
    <row r="4">
      <c r="A4" s="37" t="inlineStr">
        <is>
          <t>PRINCIPAIS CNAES E ATIVIDADES ENQUADRADAS NO FATOR R</t>
        </is>
      </c>
    </row>
    <row r="5">
      <c r="A5" s="55" t="inlineStr">
        <is>
          <t>CNAE</t>
        </is>
      </c>
      <c r="B5" s="55" t="inlineStr">
        <is>
          <t>DESCRIÇÃO DA ATIVIDADE ECONÔMICA</t>
        </is>
      </c>
      <c r="F5" s="55" t="inlineStr">
        <is>
          <t>SEGMENTO</t>
        </is>
      </c>
    </row>
    <row r="6">
      <c r="A6" s="11" t="inlineStr">
        <is>
          <t>6201-5/01</t>
        </is>
      </c>
      <c r="B6" s="17" t="inlineStr">
        <is>
          <t>Desenvolvimento de programas de computador sob encomenda (Software/Apps)</t>
        </is>
      </c>
      <c r="F6" s="11" t="inlineStr">
        <is>
          <t>TI / Tecnologia</t>
        </is>
      </c>
    </row>
    <row r="7">
      <c r="A7" s="52" t="inlineStr">
        <is>
          <t>6202-3/00</t>
        </is>
      </c>
      <c r="B7" s="19" t="inlineStr">
        <is>
          <t>Desenvolvimento e licenciamento de programas customizáveis</t>
        </is>
      </c>
      <c r="F7" s="52" t="inlineStr">
        <is>
          <t>TI / Software</t>
        </is>
      </c>
    </row>
    <row r="8">
      <c r="A8" s="11" t="inlineStr">
        <is>
          <t>6203-1/00</t>
        </is>
      </c>
      <c r="B8" s="17" t="inlineStr">
        <is>
          <t>Desenvolvimento e licenciamento de programas não-customizáveis (SaaS)</t>
        </is>
      </c>
      <c r="F8" s="11" t="inlineStr">
        <is>
          <t>TI / SaaS</t>
        </is>
      </c>
    </row>
    <row r="9">
      <c r="A9" s="52" t="inlineStr">
        <is>
          <t>6209-1/00</t>
        </is>
      </c>
      <c r="B9" s="19" t="inlineStr">
        <is>
          <t>Suporte técnico, manutenção e outros serviços em tecnologia da informação</t>
        </is>
      </c>
      <c r="F9" s="52" t="inlineStr">
        <is>
          <t>TI / Suporte</t>
        </is>
      </c>
    </row>
    <row r="10">
      <c r="A10" s="11" t="inlineStr">
        <is>
          <t>7020-4/00</t>
        </is>
      </c>
      <c r="B10" s="17" t="inlineStr">
        <is>
          <t>Atividades de consultoria em gestão empresarial e negócios</t>
        </is>
      </c>
      <c r="F10" s="11" t="inlineStr">
        <is>
          <t>Consultoria PJ</t>
        </is>
      </c>
    </row>
    <row r="11">
      <c r="A11" s="52" t="inlineStr">
        <is>
          <t>7319-0/02</t>
        </is>
      </c>
      <c r="B11" s="19" t="inlineStr">
        <is>
          <t>Promoção de vendas e publicidade no local de venda / Tráfego Pago</t>
        </is>
      </c>
      <c r="F11" s="52" t="inlineStr">
        <is>
          <t>Marketing / Agência</t>
        </is>
      </c>
    </row>
    <row r="12">
      <c r="A12" s="11" t="inlineStr">
        <is>
          <t>7112-0/00</t>
        </is>
      </c>
      <c r="B12" s="17" t="inlineStr">
        <is>
          <t>Serviços de engenharia e projetos técnicos</t>
        </is>
      </c>
      <c r="F12" s="11" t="inlineStr">
        <is>
          <t>Engenharia</t>
        </is>
      </c>
    </row>
    <row r="13">
      <c r="A13" s="52" t="inlineStr">
        <is>
          <t>7111-1/00</t>
        </is>
      </c>
      <c r="B13" s="19" t="inlineStr">
        <is>
          <t>Serviços de arquitetura e urbanismo</t>
        </is>
      </c>
      <c r="F13" s="52" t="inlineStr">
        <is>
          <t>Arquitetura</t>
        </is>
      </c>
    </row>
    <row r="14">
      <c r="A14" s="11" t="inlineStr">
        <is>
          <t>7410-2/02</t>
        </is>
      </c>
      <c r="B14" s="17" t="inlineStr">
        <is>
          <t>Design de interiores, design gráfico e webdesign</t>
        </is>
      </c>
      <c r="F14" s="11" t="inlineStr">
        <is>
          <t>Design</t>
        </is>
      </c>
    </row>
    <row r="15">
      <c r="A15" s="52" t="inlineStr">
        <is>
          <t>8630-5/03</t>
        </is>
      </c>
      <c r="B15" s="19" t="inlineStr">
        <is>
          <t>Atividade médica ambulatorial / Clínicas médicas e telemedicina</t>
        </is>
      </c>
      <c r="F15" s="52" t="inlineStr">
        <is>
          <t>Saúde</t>
        </is>
      </c>
    </row>
    <row r="16">
      <c r="A16" s="11" t="inlineStr">
        <is>
          <t>8650-0/04</t>
        </is>
      </c>
      <c r="B16" s="17" t="inlineStr">
        <is>
          <t>Atividades de fisioterapia</t>
        </is>
      </c>
      <c r="F16" s="11" t="inlineStr">
        <is>
          <t>Saúde</t>
        </is>
      </c>
    </row>
    <row r="17">
      <c r="A17" s="52" t="inlineStr">
        <is>
          <t>8650-0/03</t>
        </is>
      </c>
      <c r="B17" s="19" t="inlineStr">
        <is>
          <t>Atividades de psicologia e psicanálise</t>
        </is>
      </c>
      <c r="F17" s="52" t="inlineStr">
        <is>
          <t>Saúde</t>
        </is>
      </c>
    </row>
    <row r="18">
      <c r="A18" s="11" t="inlineStr">
        <is>
          <t>6911-7/01</t>
        </is>
      </c>
      <c r="B18" s="17" t="inlineStr">
        <is>
          <t>Serviços advocatícios e assessoria jurídica</t>
        </is>
      </c>
      <c r="F18" s="11" t="inlineStr">
        <is>
          <t>Jurídico</t>
        </is>
      </c>
    </row>
    <row r="21">
      <c r="A21" s="50" t="inlineStr">
        <is>
          <t>CHECKLIST PRÁTICO PARA ENVIAR AO SEU CONTADOR</t>
        </is>
      </c>
    </row>
    <row r="22">
      <c r="A22" s="56" t="inlineStr">
        <is>
          <t>Passo 1</t>
        </is>
      </c>
      <c r="B22" s="46" t="inlineStr">
        <is>
          <t>Informar o Faturamento Previsto do Mês até o dia 20 para cálculo da folha ideal.</t>
        </is>
      </c>
    </row>
    <row r="23">
      <c r="A23" s="52" t="inlineStr">
        <is>
          <t>Passo 2</t>
        </is>
      </c>
      <c r="B23" s="19" t="inlineStr">
        <is>
          <t>Emitir o Pró-Labore do Sócio no valor exato calculado pela aba '02_SIMULADOR_PROLABORE'.</t>
        </is>
      </c>
    </row>
    <row r="24">
      <c r="A24" s="56" t="inlineStr">
        <is>
          <t>Passo 3</t>
        </is>
      </c>
      <c r="B24" s="46" t="inlineStr">
        <is>
          <t>A contabilidade transmite o evento S-1200 / S-1210 no eSocial e gera a guia DCTFWeb (INSS).</t>
        </is>
      </c>
    </row>
    <row r="25">
      <c r="A25" s="52" t="inlineStr">
        <is>
          <t>Passo 4</t>
        </is>
      </c>
      <c r="B25" s="19" t="inlineStr">
        <is>
          <t>Ao fechar o PGDAS-D do mês, o sistema da Receita Federal reconhecerá o Fator R &gt;= 28%.</t>
        </is>
      </c>
    </row>
    <row r="26">
      <c r="A26" s="56" t="inlineStr">
        <is>
          <t>Passo 5</t>
        </is>
      </c>
      <c r="B26" s="46" t="inlineStr">
        <is>
          <t>O DAS será gerado no ANEXO III (6,0%) ao invés do ANEXO V (15,5%), garantindo a economia!</t>
        </is>
      </c>
    </row>
  </sheetData>
  <mergeCells count="36">
    <mergeCell ref="B9:E9"/>
    <mergeCell ref="F11:G11"/>
    <mergeCell ref="A1:G2"/>
    <mergeCell ref="F10:G10"/>
    <mergeCell ref="F16:G16"/>
    <mergeCell ref="B6:E6"/>
    <mergeCell ref="B23:G23"/>
    <mergeCell ref="A4:G4"/>
    <mergeCell ref="B15:E15"/>
    <mergeCell ref="F6:G6"/>
    <mergeCell ref="B5:E5"/>
    <mergeCell ref="F7:G7"/>
    <mergeCell ref="F12:G12"/>
    <mergeCell ref="F15:G15"/>
    <mergeCell ref="F5:G5"/>
    <mergeCell ref="B16:E16"/>
    <mergeCell ref="F18:G18"/>
    <mergeCell ref="B7:E7"/>
    <mergeCell ref="F17:G17"/>
    <mergeCell ref="F8:G8"/>
    <mergeCell ref="B24:G24"/>
    <mergeCell ref="B18:E18"/>
    <mergeCell ref="B12:E12"/>
    <mergeCell ref="B11:E11"/>
    <mergeCell ref="B26:G26"/>
    <mergeCell ref="F13:G13"/>
    <mergeCell ref="F9:G9"/>
    <mergeCell ref="B14:E14"/>
    <mergeCell ref="B25:G25"/>
    <mergeCell ref="B17:E17"/>
    <mergeCell ref="B8:E8"/>
    <mergeCell ref="B22:G22"/>
    <mergeCell ref="B13:E13"/>
    <mergeCell ref="A21:G21"/>
    <mergeCell ref="F14:G14"/>
    <mergeCell ref="B10:E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2026-08-14T19:15:28Z</dcterms:created>
  <dcterms:modified xmlns:dcterms="http://purl.org/dc/terms/" xmlns:xsi="http://www.w3.org/2001/XMLSchema-instance" xsi:type="dcterms:W3CDTF">2026-08-14T19:15:28Z</dcterms:modified>
</cp:coreProperties>
</file>